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preciation Schedule" state="visible" r:id="rId4"/>
  </sheets>
  <calcPr calcId="171027" fullCalcOnLoad="1"/>
</workbook>
</file>

<file path=xl/sharedStrings.xml><?xml version="1.0" encoding="utf-8"?>
<sst xmlns="http://schemas.openxmlformats.org/spreadsheetml/2006/main" count="16" uniqueCount="16">
  <si>
    <t>Fixed asset depreciation schedule (Straight-Line)</t>
  </si>
  <si>
    <t>From ledgerbrook.com/blog/journal-entry-for-depreciation/  |  Updated September 2026</t>
  </si>
  <si>
    <t>Asset description (input)</t>
  </si>
  <si>
    <t>Commercial Shop Equipment</t>
  </si>
  <si>
    <t>Historical cost (input)</t>
  </si>
  <si>
    <t>Salvage value (input)</t>
  </si>
  <si>
    <t>Useful life in years (input, up to 5)</t>
  </si>
  <si>
    <t>In-service date (input)</t>
  </si>
  <si>
    <t>Month #</t>
  </si>
  <si>
    <t>Period ending</t>
  </si>
  <si>
    <t>Beginning book value</t>
  </si>
  <si>
    <t>Depreciation expense (Dr)</t>
  </si>
  <si>
    <t>Accumulated depreciation (Cr)</t>
  </si>
  <si>
    <t>Ending book value</t>
  </si>
  <si>
    <t>Total depreciation</t>
  </si>
  <si>
    <t>Ending book value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</si>
</sst>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-#,##0.00"/>
    <numFmt numFmtId="165" formatCode="mmm d, yyyy"/>
    <numFmt numFmtId="166" formatCode="d mmm yyyy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sz val="10"/>
      <name val="Arial"/>
    </font>
    <font>
      <b/>
      <color rgb="FF1F4E9E"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164" fontId="4" fillId="0" borderId="0" xfId="0" applyNumberFormat="1" applyFont="1"/>
    <xf numFmtId="1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0" fontId="5" fillId="2" borderId="1" xfId="0" applyFont="1" applyFill="1" applyBorder="1" applyAlignment="1">
      <alignment vertical="center" wrapText="1"/>
    </xf>
    <xf numFmtId="0" fontId="3" fillId="0" borderId="2" xfId="0" applyFont="1" applyBorder="1"/>
    <xf numFmtId="166" fontId="3" fillId="0" borderId="2" xfId="0" applyNumberFormat="1" applyFont="1" applyBorder="1"/>
    <xf numFmtId="164" fontId="3" fillId="0" borderId="2" xfId="0" applyNumberFormat="1" applyFont="1" applyBorder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5" width="24" customWidth="1"/>
    <col min="6" max="6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12000</v>
      </c>
    </row>
    <row r="6" spans="1:2" x14ac:dyDescent="0.25">
      <c r="A6" s="3" t="s">
        <v>5</v>
      </c>
      <c r="B6" s="5">
        <v>1200</v>
      </c>
    </row>
    <row r="7" spans="1:2" x14ac:dyDescent="0.25">
      <c r="A7" s="3" t="s">
        <v>6</v>
      </c>
      <c r="B7" s="6">
        <v>5</v>
      </c>
    </row>
    <row r="8" spans="1:2" x14ac:dyDescent="0.25">
      <c r="A8" s="3" t="s">
        <v>7</v>
      </c>
      <c r="B8" s="7">
        <v>46023</v>
      </c>
    </row>
    <row r="9" spans="1:6" s="8" customFormat="1" x14ac:dyDescent="0.25">
      <c r="A9" s="9" t="s">
        <v>8</v>
      </c>
      <c r="B9" s="9" t="s">
        <v>9</v>
      </c>
      <c r="C9" s="9" t="s">
        <v>10</v>
      </c>
      <c r="D9" s="9" t="s">
        <v>11</v>
      </c>
      <c r="E9" s="9" t="s">
        <v>12</v>
      </c>
      <c r="F9" s="9" t="s">
        <v>13</v>
      </c>
    </row>
    <row r="10" spans="1:6" x14ac:dyDescent="0.25">
      <c r="A10" s="10">
        <f>IF(1&gt;($B$7*12),"",1)</f>
      </c>
      <c r="B10" s="11">
        <f>IF(1&gt;($B$7*12),"",EOMONTH($B$8,0))</f>
      </c>
      <c r="C10" s="12">
        <f>IF(1&gt;($B$7*12),"",$B$5)</f>
      </c>
      <c r="D10" s="12">
        <f>IF(1&gt;($B$7*12),"",ROUND(($B$5-$B$6)/($B$7*12),2))</f>
      </c>
      <c r="E10" s="12">
        <f>IF(1&gt;($B$7*12),"",D10)</f>
      </c>
      <c r="F10" s="12">
        <f>IF(1&gt;($B$7*12),"",C10-D10)</f>
      </c>
    </row>
    <row r="11" spans="1:6" x14ac:dyDescent="0.25">
      <c r="A11" s="10">
        <f>IF(2&gt;($B$7*12),"",2)</f>
      </c>
      <c r="B11" s="11">
        <f>IF(2&gt;($B$7*12),"",EOMONTH($B$8,1))</f>
      </c>
      <c r="C11" s="12">
        <f>IF(2&gt;($B$7*12),"",F10)</f>
      </c>
      <c r="D11" s="12">
        <f>IF(2&gt;($B$7*12),"",ROUND(($B$5-$B$6)/($B$7*12),2))</f>
      </c>
      <c r="E11" s="12">
        <f>IF(2&gt;($B$7*12),"",E10+D11)</f>
      </c>
      <c r="F11" s="12">
        <f>IF(2&gt;($B$7*12),"",C11-D11)</f>
      </c>
    </row>
    <row r="12" spans="1:6" x14ac:dyDescent="0.25">
      <c r="A12" s="10">
        <f>IF(3&gt;($B$7*12),"",3)</f>
      </c>
      <c r="B12" s="11">
        <f>IF(3&gt;($B$7*12),"",EOMONTH($B$8,2))</f>
      </c>
      <c r="C12" s="12">
        <f>IF(3&gt;($B$7*12),"",F11)</f>
      </c>
      <c r="D12" s="12">
        <f>IF(3&gt;($B$7*12),"",ROUND(($B$5-$B$6)/($B$7*12),2))</f>
      </c>
      <c r="E12" s="12">
        <f>IF(3&gt;($B$7*12),"",E11+D12)</f>
      </c>
      <c r="F12" s="12">
        <f>IF(3&gt;($B$7*12),"",C12-D12)</f>
      </c>
    </row>
    <row r="13" spans="1:6" x14ac:dyDescent="0.25">
      <c r="A13" s="10">
        <f>IF(4&gt;($B$7*12),"",4)</f>
      </c>
      <c r="B13" s="11">
        <f>IF(4&gt;($B$7*12),"",EOMONTH($B$8,3))</f>
      </c>
      <c r="C13" s="12">
        <f>IF(4&gt;($B$7*12),"",F12)</f>
      </c>
      <c r="D13" s="12">
        <f>IF(4&gt;($B$7*12),"",ROUND(($B$5-$B$6)/($B$7*12),2))</f>
      </c>
      <c r="E13" s="12">
        <f>IF(4&gt;($B$7*12),"",E12+D13)</f>
      </c>
      <c r="F13" s="12">
        <f>IF(4&gt;($B$7*12),"",C13-D13)</f>
      </c>
    </row>
    <row r="14" spans="1:6" x14ac:dyDescent="0.25">
      <c r="A14" s="10">
        <f>IF(5&gt;($B$7*12),"",5)</f>
      </c>
      <c r="B14" s="11">
        <f>IF(5&gt;($B$7*12),"",EOMONTH($B$8,4))</f>
      </c>
      <c r="C14" s="12">
        <f>IF(5&gt;($B$7*12),"",F13)</f>
      </c>
      <c r="D14" s="12">
        <f>IF(5&gt;($B$7*12),"",ROUND(($B$5-$B$6)/($B$7*12),2))</f>
      </c>
      <c r="E14" s="12">
        <f>IF(5&gt;($B$7*12),"",E13+D14)</f>
      </c>
      <c r="F14" s="12">
        <f>IF(5&gt;($B$7*12),"",C14-D14)</f>
      </c>
    </row>
    <row r="15" spans="1:6" x14ac:dyDescent="0.25">
      <c r="A15" s="10">
        <f>IF(6&gt;($B$7*12),"",6)</f>
      </c>
      <c r="B15" s="11">
        <f>IF(6&gt;($B$7*12),"",EOMONTH($B$8,5))</f>
      </c>
      <c r="C15" s="12">
        <f>IF(6&gt;($B$7*12),"",F14)</f>
      </c>
      <c r="D15" s="12">
        <f>IF(6&gt;($B$7*12),"",ROUND(($B$5-$B$6)/($B$7*12),2))</f>
      </c>
      <c r="E15" s="12">
        <f>IF(6&gt;($B$7*12),"",E14+D15)</f>
      </c>
      <c r="F15" s="12">
        <f>IF(6&gt;($B$7*12),"",C15-D15)</f>
      </c>
    </row>
    <row r="16" spans="1:6" x14ac:dyDescent="0.25">
      <c r="A16" s="10">
        <f>IF(7&gt;($B$7*12),"",7)</f>
      </c>
      <c r="B16" s="11">
        <f>IF(7&gt;($B$7*12),"",EOMONTH($B$8,6))</f>
      </c>
      <c r="C16" s="12">
        <f>IF(7&gt;($B$7*12),"",F15)</f>
      </c>
      <c r="D16" s="12">
        <f>IF(7&gt;($B$7*12),"",ROUND(($B$5-$B$6)/($B$7*12),2))</f>
      </c>
      <c r="E16" s="12">
        <f>IF(7&gt;($B$7*12),"",E15+D16)</f>
      </c>
      <c r="F16" s="12">
        <f>IF(7&gt;($B$7*12),"",C16-D16)</f>
      </c>
    </row>
    <row r="17" spans="1:6" x14ac:dyDescent="0.25">
      <c r="A17" s="10">
        <f>IF(8&gt;($B$7*12),"",8)</f>
      </c>
      <c r="B17" s="11">
        <f>IF(8&gt;($B$7*12),"",EOMONTH($B$8,7))</f>
      </c>
      <c r="C17" s="12">
        <f>IF(8&gt;($B$7*12),"",F16)</f>
      </c>
      <c r="D17" s="12">
        <f>IF(8&gt;($B$7*12),"",ROUND(($B$5-$B$6)/($B$7*12),2))</f>
      </c>
      <c r="E17" s="12">
        <f>IF(8&gt;($B$7*12),"",E16+D17)</f>
      </c>
      <c r="F17" s="12">
        <f>IF(8&gt;($B$7*12),"",C17-D17)</f>
      </c>
    </row>
    <row r="18" spans="1:6" x14ac:dyDescent="0.25">
      <c r="A18" s="10">
        <f>IF(9&gt;($B$7*12),"",9)</f>
      </c>
      <c r="B18" s="11">
        <f>IF(9&gt;($B$7*12),"",EOMONTH($B$8,8))</f>
      </c>
      <c r="C18" s="12">
        <f>IF(9&gt;($B$7*12),"",F17)</f>
      </c>
      <c r="D18" s="12">
        <f>IF(9&gt;($B$7*12),"",ROUND(($B$5-$B$6)/($B$7*12),2))</f>
      </c>
      <c r="E18" s="12">
        <f>IF(9&gt;($B$7*12),"",E17+D18)</f>
      </c>
      <c r="F18" s="12">
        <f>IF(9&gt;($B$7*12),"",C18-D18)</f>
      </c>
    </row>
    <row r="19" spans="1:6" x14ac:dyDescent="0.25">
      <c r="A19" s="10">
        <f>IF(10&gt;($B$7*12),"",10)</f>
      </c>
      <c r="B19" s="11">
        <f>IF(10&gt;($B$7*12),"",EOMONTH($B$8,9))</f>
      </c>
      <c r="C19" s="12">
        <f>IF(10&gt;($B$7*12),"",F18)</f>
      </c>
      <c r="D19" s="12">
        <f>IF(10&gt;($B$7*12),"",ROUND(($B$5-$B$6)/($B$7*12),2))</f>
      </c>
      <c r="E19" s="12">
        <f>IF(10&gt;($B$7*12),"",E18+D19)</f>
      </c>
      <c r="F19" s="12">
        <f>IF(10&gt;($B$7*12),"",C19-D19)</f>
      </c>
    </row>
    <row r="20" spans="1:6" x14ac:dyDescent="0.25">
      <c r="A20" s="10">
        <f>IF(11&gt;($B$7*12),"",11)</f>
      </c>
      <c r="B20" s="11">
        <f>IF(11&gt;($B$7*12),"",EOMONTH($B$8,10))</f>
      </c>
      <c r="C20" s="12">
        <f>IF(11&gt;($B$7*12),"",F19)</f>
      </c>
      <c r="D20" s="12">
        <f>IF(11&gt;($B$7*12),"",ROUND(($B$5-$B$6)/($B$7*12),2))</f>
      </c>
      <c r="E20" s="12">
        <f>IF(11&gt;($B$7*12),"",E19+D20)</f>
      </c>
      <c r="F20" s="12">
        <f>IF(11&gt;($B$7*12),"",C20-D20)</f>
      </c>
    </row>
    <row r="21" spans="1:6" x14ac:dyDescent="0.25">
      <c r="A21" s="10">
        <f>IF(12&gt;($B$7*12),"",12)</f>
      </c>
      <c r="B21" s="11">
        <f>IF(12&gt;($B$7*12),"",EOMONTH($B$8,11))</f>
      </c>
      <c r="C21" s="12">
        <f>IF(12&gt;($B$7*12),"",F20)</f>
      </c>
      <c r="D21" s="12">
        <f>IF(12&gt;($B$7*12),"",ROUND(($B$5-$B$6)/($B$7*12),2))</f>
      </c>
      <c r="E21" s="12">
        <f>IF(12&gt;($B$7*12),"",E20+D21)</f>
      </c>
      <c r="F21" s="12">
        <f>IF(12&gt;($B$7*12),"",C21-D21)</f>
      </c>
    </row>
    <row r="22" spans="1:6" x14ac:dyDescent="0.25">
      <c r="A22" s="10">
        <f>IF(13&gt;($B$7*12),"",13)</f>
      </c>
      <c r="B22" s="11">
        <f>IF(13&gt;($B$7*12),"",EOMONTH($B$8,12))</f>
      </c>
      <c r="C22" s="12">
        <f>IF(13&gt;($B$7*12),"",F21)</f>
      </c>
      <c r="D22" s="12">
        <f>IF(13&gt;($B$7*12),"",ROUND(($B$5-$B$6)/($B$7*12),2))</f>
      </c>
      <c r="E22" s="12">
        <f>IF(13&gt;($B$7*12),"",E21+D22)</f>
      </c>
      <c r="F22" s="12">
        <f>IF(13&gt;($B$7*12),"",C22-D22)</f>
      </c>
    </row>
    <row r="23" spans="1:6" x14ac:dyDescent="0.25">
      <c r="A23" s="10">
        <f>IF(14&gt;($B$7*12),"",14)</f>
      </c>
      <c r="B23" s="11">
        <f>IF(14&gt;($B$7*12),"",EOMONTH($B$8,13))</f>
      </c>
      <c r="C23" s="12">
        <f>IF(14&gt;($B$7*12),"",F22)</f>
      </c>
      <c r="D23" s="12">
        <f>IF(14&gt;($B$7*12),"",ROUND(($B$5-$B$6)/($B$7*12),2))</f>
      </c>
      <c r="E23" s="12">
        <f>IF(14&gt;($B$7*12),"",E22+D23)</f>
      </c>
      <c r="F23" s="12">
        <f>IF(14&gt;($B$7*12),"",C23-D23)</f>
      </c>
    </row>
    <row r="24" spans="1:6" x14ac:dyDescent="0.25">
      <c r="A24" s="10">
        <f>IF(15&gt;($B$7*12),"",15)</f>
      </c>
      <c r="B24" s="11">
        <f>IF(15&gt;($B$7*12),"",EOMONTH($B$8,14))</f>
      </c>
      <c r="C24" s="12">
        <f>IF(15&gt;($B$7*12),"",F23)</f>
      </c>
      <c r="D24" s="12">
        <f>IF(15&gt;($B$7*12),"",ROUND(($B$5-$B$6)/($B$7*12),2))</f>
      </c>
      <c r="E24" s="12">
        <f>IF(15&gt;($B$7*12),"",E23+D24)</f>
      </c>
      <c r="F24" s="12">
        <f>IF(15&gt;($B$7*12),"",C24-D24)</f>
      </c>
    </row>
    <row r="25" spans="1:6" x14ac:dyDescent="0.25">
      <c r="A25" s="10">
        <f>IF(16&gt;($B$7*12),"",16)</f>
      </c>
      <c r="B25" s="11">
        <f>IF(16&gt;($B$7*12),"",EOMONTH($B$8,15))</f>
      </c>
      <c r="C25" s="12">
        <f>IF(16&gt;($B$7*12),"",F24)</f>
      </c>
      <c r="D25" s="12">
        <f>IF(16&gt;($B$7*12),"",ROUND(($B$5-$B$6)/($B$7*12),2))</f>
      </c>
      <c r="E25" s="12">
        <f>IF(16&gt;($B$7*12),"",E24+D25)</f>
      </c>
      <c r="F25" s="12">
        <f>IF(16&gt;($B$7*12),"",C25-D25)</f>
      </c>
    </row>
    <row r="26" spans="1:6" x14ac:dyDescent="0.25">
      <c r="A26" s="10">
        <f>IF(17&gt;($B$7*12),"",17)</f>
      </c>
      <c r="B26" s="11">
        <f>IF(17&gt;($B$7*12),"",EOMONTH($B$8,16))</f>
      </c>
      <c r="C26" s="12">
        <f>IF(17&gt;($B$7*12),"",F25)</f>
      </c>
      <c r="D26" s="12">
        <f>IF(17&gt;($B$7*12),"",ROUND(($B$5-$B$6)/($B$7*12),2))</f>
      </c>
      <c r="E26" s="12">
        <f>IF(17&gt;($B$7*12),"",E25+D26)</f>
      </c>
      <c r="F26" s="12">
        <f>IF(17&gt;($B$7*12),"",C26-D26)</f>
      </c>
    </row>
    <row r="27" spans="1:6" x14ac:dyDescent="0.25">
      <c r="A27" s="10">
        <f>IF(18&gt;($B$7*12),"",18)</f>
      </c>
      <c r="B27" s="11">
        <f>IF(18&gt;($B$7*12),"",EOMONTH($B$8,17))</f>
      </c>
      <c r="C27" s="12">
        <f>IF(18&gt;($B$7*12),"",F26)</f>
      </c>
      <c r="D27" s="12">
        <f>IF(18&gt;($B$7*12),"",ROUND(($B$5-$B$6)/($B$7*12),2))</f>
      </c>
      <c r="E27" s="12">
        <f>IF(18&gt;($B$7*12),"",E26+D27)</f>
      </c>
      <c r="F27" s="12">
        <f>IF(18&gt;($B$7*12),"",C27-D27)</f>
      </c>
    </row>
    <row r="28" spans="1:6" x14ac:dyDescent="0.25">
      <c r="A28" s="10">
        <f>IF(19&gt;($B$7*12),"",19)</f>
      </c>
      <c r="B28" s="11">
        <f>IF(19&gt;($B$7*12),"",EOMONTH($B$8,18))</f>
      </c>
      <c r="C28" s="12">
        <f>IF(19&gt;($B$7*12),"",F27)</f>
      </c>
      <c r="D28" s="12">
        <f>IF(19&gt;($B$7*12),"",ROUND(($B$5-$B$6)/($B$7*12),2))</f>
      </c>
      <c r="E28" s="12">
        <f>IF(19&gt;($B$7*12),"",E27+D28)</f>
      </c>
      <c r="F28" s="12">
        <f>IF(19&gt;($B$7*12),"",C28-D28)</f>
      </c>
    </row>
    <row r="29" spans="1:6" x14ac:dyDescent="0.25">
      <c r="A29" s="10">
        <f>IF(20&gt;($B$7*12),"",20)</f>
      </c>
      <c r="B29" s="11">
        <f>IF(20&gt;($B$7*12),"",EOMONTH($B$8,19))</f>
      </c>
      <c r="C29" s="12">
        <f>IF(20&gt;($B$7*12),"",F28)</f>
      </c>
      <c r="D29" s="12">
        <f>IF(20&gt;($B$7*12),"",ROUND(($B$5-$B$6)/($B$7*12),2))</f>
      </c>
      <c r="E29" s="12">
        <f>IF(20&gt;($B$7*12),"",E28+D29)</f>
      </c>
      <c r="F29" s="12">
        <f>IF(20&gt;($B$7*12),"",C29-D29)</f>
      </c>
    </row>
    <row r="30" spans="1:6" x14ac:dyDescent="0.25">
      <c r="A30" s="10">
        <f>IF(21&gt;($B$7*12),"",21)</f>
      </c>
      <c r="B30" s="11">
        <f>IF(21&gt;($B$7*12),"",EOMONTH($B$8,20))</f>
      </c>
      <c r="C30" s="12">
        <f>IF(21&gt;($B$7*12),"",F29)</f>
      </c>
      <c r="D30" s="12">
        <f>IF(21&gt;($B$7*12),"",ROUND(($B$5-$B$6)/($B$7*12),2))</f>
      </c>
      <c r="E30" s="12">
        <f>IF(21&gt;($B$7*12),"",E29+D30)</f>
      </c>
      <c r="F30" s="12">
        <f>IF(21&gt;($B$7*12),"",C30-D30)</f>
      </c>
    </row>
    <row r="31" spans="1:6" x14ac:dyDescent="0.25">
      <c r="A31" s="10">
        <f>IF(22&gt;($B$7*12),"",22)</f>
      </c>
      <c r="B31" s="11">
        <f>IF(22&gt;($B$7*12),"",EOMONTH($B$8,21))</f>
      </c>
      <c r="C31" s="12">
        <f>IF(22&gt;($B$7*12),"",F30)</f>
      </c>
      <c r="D31" s="12">
        <f>IF(22&gt;($B$7*12),"",ROUND(($B$5-$B$6)/($B$7*12),2))</f>
      </c>
      <c r="E31" s="12">
        <f>IF(22&gt;($B$7*12),"",E30+D31)</f>
      </c>
      <c r="F31" s="12">
        <f>IF(22&gt;($B$7*12),"",C31-D31)</f>
      </c>
    </row>
    <row r="32" spans="1:6" x14ac:dyDescent="0.25">
      <c r="A32" s="10">
        <f>IF(23&gt;($B$7*12),"",23)</f>
      </c>
      <c r="B32" s="11">
        <f>IF(23&gt;($B$7*12),"",EOMONTH($B$8,22))</f>
      </c>
      <c r="C32" s="12">
        <f>IF(23&gt;($B$7*12),"",F31)</f>
      </c>
      <c r="D32" s="12">
        <f>IF(23&gt;($B$7*12),"",ROUND(($B$5-$B$6)/($B$7*12),2))</f>
      </c>
      <c r="E32" s="12">
        <f>IF(23&gt;($B$7*12),"",E31+D32)</f>
      </c>
      <c r="F32" s="12">
        <f>IF(23&gt;($B$7*12),"",C32-D32)</f>
      </c>
    </row>
    <row r="33" spans="1:6" x14ac:dyDescent="0.25">
      <c r="A33" s="10">
        <f>IF(24&gt;($B$7*12),"",24)</f>
      </c>
      <c r="B33" s="11">
        <f>IF(24&gt;($B$7*12),"",EOMONTH($B$8,23))</f>
      </c>
      <c r="C33" s="12">
        <f>IF(24&gt;($B$7*12),"",F32)</f>
      </c>
      <c r="D33" s="12">
        <f>IF(24&gt;($B$7*12),"",ROUND(($B$5-$B$6)/($B$7*12),2))</f>
      </c>
      <c r="E33" s="12">
        <f>IF(24&gt;($B$7*12),"",E32+D33)</f>
      </c>
      <c r="F33" s="12">
        <f>IF(24&gt;($B$7*12),"",C33-D33)</f>
      </c>
    </row>
    <row r="34" spans="1:6" x14ac:dyDescent="0.25">
      <c r="A34" s="10">
        <f>IF(25&gt;($B$7*12),"",25)</f>
      </c>
      <c r="B34" s="11">
        <f>IF(25&gt;($B$7*12),"",EOMONTH($B$8,24))</f>
      </c>
      <c r="C34" s="12">
        <f>IF(25&gt;($B$7*12),"",F33)</f>
      </c>
      <c r="D34" s="12">
        <f>IF(25&gt;($B$7*12),"",ROUND(($B$5-$B$6)/($B$7*12),2))</f>
      </c>
      <c r="E34" s="12">
        <f>IF(25&gt;($B$7*12),"",E33+D34)</f>
      </c>
      <c r="F34" s="12">
        <f>IF(25&gt;($B$7*12),"",C34-D34)</f>
      </c>
    </row>
    <row r="35" spans="1:6" x14ac:dyDescent="0.25">
      <c r="A35" s="10">
        <f>IF(26&gt;($B$7*12),"",26)</f>
      </c>
      <c r="B35" s="11">
        <f>IF(26&gt;($B$7*12),"",EOMONTH($B$8,25))</f>
      </c>
      <c r="C35" s="12">
        <f>IF(26&gt;($B$7*12),"",F34)</f>
      </c>
      <c r="D35" s="12">
        <f>IF(26&gt;($B$7*12),"",ROUND(($B$5-$B$6)/($B$7*12),2))</f>
      </c>
      <c r="E35" s="12">
        <f>IF(26&gt;($B$7*12),"",E34+D35)</f>
      </c>
      <c r="F35" s="12">
        <f>IF(26&gt;($B$7*12),"",C35-D35)</f>
      </c>
    </row>
    <row r="36" spans="1:6" x14ac:dyDescent="0.25">
      <c r="A36" s="10">
        <f>IF(27&gt;($B$7*12),"",27)</f>
      </c>
      <c r="B36" s="11">
        <f>IF(27&gt;($B$7*12),"",EOMONTH($B$8,26))</f>
      </c>
      <c r="C36" s="12">
        <f>IF(27&gt;($B$7*12),"",F35)</f>
      </c>
      <c r="D36" s="12">
        <f>IF(27&gt;($B$7*12),"",ROUND(($B$5-$B$6)/($B$7*12),2))</f>
      </c>
      <c r="E36" s="12">
        <f>IF(27&gt;($B$7*12),"",E35+D36)</f>
      </c>
      <c r="F36" s="12">
        <f>IF(27&gt;($B$7*12),"",C36-D36)</f>
      </c>
    </row>
    <row r="37" spans="1:6" x14ac:dyDescent="0.25">
      <c r="A37" s="10">
        <f>IF(28&gt;($B$7*12),"",28)</f>
      </c>
      <c r="B37" s="11">
        <f>IF(28&gt;($B$7*12),"",EOMONTH($B$8,27))</f>
      </c>
      <c r="C37" s="12">
        <f>IF(28&gt;($B$7*12),"",F36)</f>
      </c>
      <c r="D37" s="12">
        <f>IF(28&gt;($B$7*12),"",ROUND(($B$5-$B$6)/($B$7*12),2))</f>
      </c>
      <c r="E37" s="12">
        <f>IF(28&gt;($B$7*12),"",E36+D37)</f>
      </c>
      <c r="F37" s="12">
        <f>IF(28&gt;($B$7*12),"",C37-D37)</f>
      </c>
    </row>
    <row r="38" spans="1:6" x14ac:dyDescent="0.25">
      <c r="A38" s="10">
        <f>IF(29&gt;($B$7*12),"",29)</f>
      </c>
      <c r="B38" s="11">
        <f>IF(29&gt;($B$7*12),"",EOMONTH($B$8,28))</f>
      </c>
      <c r="C38" s="12">
        <f>IF(29&gt;($B$7*12),"",F37)</f>
      </c>
      <c r="D38" s="12">
        <f>IF(29&gt;($B$7*12),"",ROUND(($B$5-$B$6)/($B$7*12),2))</f>
      </c>
      <c r="E38" s="12">
        <f>IF(29&gt;($B$7*12),"",E37+D38)</f>
      </c>
      <c r="F38" s="12">
        <f>IF(29&gt;($B$7*12),"",C38-D38)</f>
      </c>
    </row>
    <row r="39" spans="1:6" x14ac:dyDescent="0.25">
      <c r="A39" s="10">
        <f>IF(30&gt;($B$7*12),"",30)</f>
      </c>
      <c r="B39" s="11">
        <f>IF(30&gt;($B$7*12),"",EOMONTH($B$8,29))</f>
      </c>
      <c r="C39" s="12">
        <f>IF(30&gt;($B$7*12),"",F38)</f>
      </c>
      <c r="D39" s="12">
        <f>IF(30&gt;($B$7*12),"",ROUND(($B$5-$B$6)/($B$7*12),2))</f>
      </c>
      <c r="E39" s="12">
        <f>IF(30&gt;($B$7*12),"",E38+D39)</f>
      </c>
      <c r="F39" s="12">
        <f>IF(30&gt;($B$7*12),"",C39-D39)</f>
      </c>
    </row>
    <row r="40" spans="1:6" x14ac:dyDescent="0.25">
      <c r="A40" s="10">
        <f>IF(31&gt;($B$7*12),"",31)</f>
      </c>
      <c r="B40" s="11">
        <f>IF(31&gt;($B$7*12),"",EOMONTH($B$8,30))</f>
      </c>
      <c r="C40" s="12">
        <f>IF(31&gt;($B$7*12),"",F39)</f>
      </c>
      <c r="D40" s="12">
        <f>IF(31&gt;($B$7*12),"",ROUND(($B$5-$B$6)/($B$7*12),2))</f>
      </c>
      <c r="E40" s="12">
        <f>IF(31&gt;($B$7*12),"",E39+D40)</f>
      </c>
      <c r="F40" s="12">
        <f>IF(31&gt;($B$7*12),"",C40-D40)</f>
      </c>
    </row>
    <row r="41" spans="1:6" x14ac:dyDescent="0.25">
      <c r="A41" s="10">
        <f>IF(32&gt;($B$7*12),"",32)</f>
      </c>
      <c r="B41" s="11">
        <f>IF(32&gt;($B$7*12),"",EOMONTH($B$8,31))</f>
      </c>
      <c r="C41" s="12">
        <f>IF(32&gt;($B$7*12),"",F40)</f>
      </c>
      <c r="D41" s="12">
        <f>IF(32&gt;($B$7*12),"",ROUND(($B$5-$B$6)/($B$7*12),2))</f>
      </c>
      <c r="E41" s="12">
        <f>IF(32&gt;($B$7*12),"",E40+D41)</f>
      </c>
      <c r="F41" s="12">
        <f>IF(32&gt;($B$7*12),"",C41-D41)</f>
      </c>
    </row>
    <row r="42" spans="1:6" x14ac:dyDescent="0.25">
      <c r="A42" s="10">
        <f>IF(33&gt;($B$7*12),"",33)</f>
      </c>
      <c r="B42" s="11">
        <f>IF(33&gt;($B$7*12),"",EOMONTH($B$8,32))</f>
      </c>
      <c r="C42" s="12">
        <f>IF(33&gt;($B$7*12),"",F41)</f>
      </c>
      <c r="D42" s="12">
        <f>IF(33&gt;($B$7*12),"",ROUND(($B$5-$B$6)/($B$7*12),2))</f>
      </c>
      <c r="E42" s="12">
        <f>IF(33&gt;($B$7*12),"",E41+D42)</f>
      </c>
      <c r="F42" s="12">
        <f>IF(33&gt;($B$7*12),"",C42-D42)</f>
      </c>
    </row>
    <row r="43" spans="1:6" x14ac:dyDescent="0.25">
      <c r="A43" s="10">
        <f>IF(34&gt;($B$7*12),"",34)</f>
      </c>
      <c r="B43" s="11">
        <f>IF(34&gt;($B$7*12),"",EOMONTH($B$8,33))</f>
      </c>
      <c r="C43" s="12">
        <f>IF(34&gt;($B$7*12),"",F42)</f>
      </c>
      <c r="D43" s="12">
        <f>IF(34&gt;($B$7*12),"",ROUND(($B$5-$B$6)/($B$7*12),2))</f>
      </c>
      <c r="E43" s="12">
        <f>IF(34&gt;($B$7*12),"",E42+D43)</f>
      </c>
      <c r="F43" s="12">
        <f>IF(34&gt;($B$7*12),"",C43-D43)</f>
      </c>
    </row>
    <row r="44" spans="1:6" x14ac:dyDescent="0.25">
      <c r="A44" s="10">
        <f>IF(35&gt;($B$7*12),"",35)</f>
      </c>
      <c r="B44" s="11">
        <f>IF(35&gt;($B$7*12),"",EOMONTH($B$8,34))</f>
      </c>
      <c r="C44" s="12">
        <f>IF(35&gt;($B$7*12),"",F43)</f>
      </c>
      <c r="D44" s="12">
        <f>IF(35&gt;($B$7*12),"",ROUND(($B$5-$B$6)/($B$7*12),2))</f>
      </c>
      <c r="E44" s="12">
        <f>IF(35&gt;($B$7*12),"",E43+D44)</f>
      </c>
      <c r="F44" s="12">
        <f>IF(35&gt;($B$7*12),"",C44-D44)</f>
      </c>
    </row>
    <row r="45" spans="1:6" x14ac:dyDescent="0.25">
      <c r="A45" s="10">
        <f>IF(36&gt;($B$7*12),"",36)</f>
      </c>
      <c r="B45" s="11">
        <f>IF(36&gt;($B$7*12),"",EOMONTH($B$8,35))</f>
      </c>
      <c r="C45" s="12">
        <f>IF(36&gt;($B$7*12),"",F44)</f>
      </c>
      <c r="D45" s="12">
        <f>IF(36&gt;($B$7*12),"",ROUND(($B$5-$B$6)/($B$7*12),2))</f>
      </c>
      <c r="E45" s="12">
        <f>IF(36&gt;($B$7*12),"",E44+D45)</f>
      </c>
      <c r="F45" s="12">
        <f>IF(36&gt;($B$7*12),"",C45-D45)</f>
      </c>
    </row>
    <row r="46" spans="1:6" x14ac:dyDescent="0.25">
      <c r="A46" s="10">
        <f>IF(37&gt;($B$7*12),"",37)</f>
      </c>
      <c r="B46" s="11">
        <f>IF(37&gt;($B$7*12),"",EOMONTH($B$8,36))</f>
      </c>
      <c r="C46" s="12">
        <f>IF(37&gt;($B$7*12),"",F45)</f>
      </c>
      <c r="D46" s="12">
        <f>IF(37&gt;($B$7*12),"",ROUND(($B$5-$B$6)/($B$7*12),2))</f>
      </c>
      <c r="E46" s="12">
        <f>IF(37&gt;($B$7*12),"",E45+D46)</f>
      </c>
      <c r="F46" s="12">
        <f>IF(37&gt;($B$7*12),"",C46-D46)</f>
      </c>
    </row>
    <row r="47" spans="1:6" x14ac:dyDescent="0.25">
      <c r="A47" s="10">
        <f>IF(38&gt;($B$7*12),"",38)</f>
      </c>
      <c r="B47" s="11">
        <f>IF(38&gt;($B$7*12),"",EOMONTH($B$8,37))</f>
      </c>
      <c r="C47" s="12">
        <f>IF(38&gt;($B$7*12),"",F46)</f>
      </c>
      <c r="D47" s="12">
        <f>IF(38&gt;($B$7*12),"",ROUND(($B$5-$B$6)/($B$7*12),2))</f>
      </c>
      <c r="E47" s="12">
        <f>IF(38&gt;($B$7*12),"",E46+D47)</f>
      </c>
      <c r="F47" s="12">
        <f>IF(38&gt;($B$7*12),"",C47-D47)</f>
      </c>
    </row>
    <row r="48" spans="1:6" x14ac:dyDescent="0.25">
      <c r="A48" s="10">
        <f>IF(39&gt;($B$7*12),"",39)</f>
      </c>
      <c r="B48" s="11">
        <f>IF(39&gt;($B$7*12),"",EOMONTH($B$8,38))</f>
      </c>
      <c r="C48" s="12">
        <f>IF(39&gt;($B$7*12),"",F47)</f>
      </c>
      <c r="D48" s="12">
        <f>IF(39&gt;($B$7*12),"",ROUND(($B$5-$B$6)/($B$7*12),2))</f>
      </c>
      <c r="E48" s="12">
        <f>IF(39&gt;($B$7*12),"",E47+D48)</f>
      </c>
      <c r="F48" s="12">
        <f>IF(39&gt;($B$7*12),"",C48-D48)</f>
      </c>
    </row>
    <row r="49" spans="1:6" x14ac:dyDescent="0.25">
      <c r="A49" s="10">
        <f>IF(40&gt;($B$7*12),"",40)</f>
      </c>
      <c r="B49" s="11">
        <f>IF(40&gt;($B$7*12),"",EOMONTH($B$8,39))</f>
      </c>
      <c r="C49" s="12">
        <f>IF(40&gt;($B$7*12),"",F48)</f>
      </c>
      <c r="D49" s="12">
        <f>IF(40&gt;($B$7*12),"",ROUND(($B$5-$B$6)/($B$7*12),2))</f>
      </c>
      <c r="E49" s="12">
        <f>IF(40&gt;($B$7*12),"",E48+D49)</f>
      </c>
      <c r="F49" s="12">
        <f>IF(40&gt;($B$7*12),"",C49-D49)</f>
      </c>
    </row>
    <row r="50" spans="1:6" x14ac:dyDescent="0.25">
      <c r="A50" s="10">
        <f>IF(41&gt;($B$7*12),"",41)</f>
      </c>
      <c r="B50" s="11">
        <f>IF(41&gt;($B$7*12),"",EOMONTH($B$8,40))</f>
      </c>
      <c r="C50" s="12">
        <f>IF(41&gt;($B$7*12),"",F49)</f>
      </c>
      <c r="D50" s="12">
        <f>IF(41&gt;($B$7*12),"",ROUND(($B$5-$B$6)/($B$7*12),2))</f>
      </c>
      <c r="E50" s="12">
        <f>IF(41&gt;($B$7*12),"",E49+D50)</f>
      </c>
      <c r="F50" s="12">
        <f>IF(41&gt;($B$7*12),"",C50-D50)</f>
      </c>
    </row>
    <row r="51" spans="1:6" x14ac:dyDescent="0.25">
      <c r="A51" s="10">
        <f>IF(42&gt;($B$7*12),"",42)</f>
      </c>
      <c r="B51" s="11">
        <f>IF(42&gt;($B$7*12),"",EOMONTH($B$8,41))</f>
      </c>
      <c r="C51" s="12">
        <f>IF(42&gt;($B$7*12),"",F50)</f>
      </c>
      <c r="D51" s="12">
        <f>IF(42&gt;($B$7*12),"",ROUND(($B$5-$B$6)/($B$7*12),2))</f>
      </c>
      <c r="E51" s="12">
        <f>IF(42&gt;($B$7*12),"",E50+D51)</f>
      </c>
      <c r="F51" s="12">
        <f>IF(42&gt;($B$7*12),"",C51-D51)</f>
      </c>
    </row>
    <row r="52" spans="1:6" x14ac:dyDescent="0.25">
      <c r="A52" s="10">
        <f>IF(43&gt;($B$7*12),"",43)</f>
      </c>
      <c r="B52" s="11">
        <f>IF(43&gt;($B$7*12),"",EOMONTH($B$8,42))</f>
      </c>
      <c r="C52" s="12">
        <f>IF(43&gt;($B$7*12),"",F51)</f>
      </c>
      <c r="D52" s="12">
        <f>IF(43&gt;($B$7*12),"",ROUND(($B$5-$B$6)/($B$7*12),2))</f>
      </c>
      <c r="E52" s="12">
        <f>IF(43&gt;($B$7*12),"",E51+D52)</f>
      </c>
      <c r="F52" s="12">
        <f>IF(43&gt;($B$7*12),"",C52-D52)</f>
      </c>
    </row>
    <row r="53" spans="1:6" x14ac:dyDescent="0.25">
      <c r="A53" s="10">
        <f>IF(44&gt;($B$7*12),"",44)</f>
      </c>
      <c r="B53" s="11">
        <f>IF(44&gt;($B$7*12),"",EOMONTH($B$8,43))</f>
      </c>
      <c r="C53" s="12">
        <f>IF(44&gt;($B$7*12),"",F52)</f>
      </c>
      <c r="D53" s="12">
        <f>IF(44&gt;($B$7*12),"",ROUND(($B$5-$B$6)/($B$7*12),2))</f>
      </c>
      <c r="E53" s="12">
        <f>IF(44&gt;($B$7*12),"",E52+D53)</f>
      </c>
      <c r="F53" s="12">
        <f>IF(44&gt;($B$7*12),"",C53-D53)</f>
      </c>
    </row>
    <row r="54" spans="1:6" x14ac:dyDescent="0.25">
      <c r="A54" s="10">
        <f>IF(45&gt;($B$7*12),"",45)</f>
      </c>
      <c r="B54" s="11">
        <f>IF(45&gt;($B$7*12),"",EOMONTH($B$8,44))</f>
      </c>
      <c r="C54" s="12">
        <f>IF(45&gt;($B$7*12),"",F53)</f>
      </c>
      <c r="D54" s="12">
        <f>IF(45&gt;($B$7*12),"",ROUND(($B$5-$B$6)/($B$7*12),2))</f>
      </c>
      <c r="E54" s="12">
        <f>IF(45&gt;($B$7*12),"",E53+D54)</f>
      </c>
      <c r="F54" s="12">
        <f>IF(45&gt;($B$7*12),"",C54-D54)</f>
      </c>
    </row>
    <row r="55" spans="1:6" x14ac:dyDescent="0.25">
      <c r="A55" s="10">
        <f>IF(46&gt;($B$7*12),"",46)</f>
      </c>
      <c r="B55" s="11">
        <f>IF(46&gt;($B$7*12),"",EOMONTH($B$8,45))</f>
      </c>
      <c r="C55" s="12">
        <f>IF(46&gt;($B$7*12),"",F54)</f>
      </c>
      <c r="D55" s="12">
        <f>IF(46&gt;($B$7*12),"",ROUND(($B$5-$B$6)/($B$7*12),2))</f>
      </c>
      <c r="E55" s="12">
        <f>IF(46&gt;($B$7*12),"",E54+D55)</f>
      </c>
      <c r="F55" s="12">
        <f>IF(46&gt;($B$7*12),"",C55-D55)</f>
      </c>
    </row>
    <row r="56" spans="1:6" x14ac:dyDescent="0.25">
      <c r="A56" s="10">
        <f>IF(47&gt;($B$7*12),"",47)</f>
      </c>
      <c r="B56" s="11">
        <f>IF(47&gt;($B$7*12),"",EOMONTH($B$8,46))</f>
      </c>
      <c r="C56" s="12">
        <f>IF(47&gt;($B$7*12),"",F55)</f>
      </c>
      <c r="D56" s="12">
        <f>IF(47&gt;($B$7*12),"",ROUND(($B$5-$B$6)/($B$7*12),2))</f>
      </c>
      <c r="E56" s="12">
        <f>IF(47&gt;($B$7*12),"",E55+D56)</f>
      </c>
      <c r="F56" s="12">
        <f>IF(47&gt;($B$7*12),"",C56-D56)</f>
      </c>
    </row>
    <row r="57" spans="1:6" x14ac:dyDescent="0.25">
      <c r="A57" s="10">
        <f>IF(48&gt;($B$7*12),"",48)</f>
      </c>
      <c r="B57" s="11">
        <f>IF(48&gt;($B$7*12),"",EOMONTH($B$8,47))</f>
      </c>
      <c r="C57" s="12">
        <f>IF(48&gt;($B$7*12),"",F56)</f>
      </c>
      <c r="D57" s="12">
        <f>IF(48&gt;($B$7*12),"",ROUND(($B$5-$B$6)/($B$7*12),2))</f>
      </c>
      <c r="E57" s="12">
        <f>IF(48&gt;($B$7*12),"",E56+D57)</f>
      </c>
      <c r="F57" s="12">
        <f>IF(48&gt;($B$7*12),"",C57-D57)</f>
      </c>
    </row>
    <row r="58" spans="1:6" x14ac:dyDescent="0.25">
      <c r="A58" s="10">
        <f>IF(49&gt;($B$7*12),"",49)</f>
      </c>
      <c r="B58" s="11">
        <f>IF(49&gt;($B$7*12),"",EOMONTH($B$8,48))</f>
      </c>
      <c r="C58" s="12">
        <f>IF(49&gt;($B$7*12),"",F57)</f>
      </c>
      <c r="D58" s="12">
        <f>IF(49&gt;($B$7*12),"",ROUND(($B$5-$B$6)/($B$7*12),2))</f>
      </c>
      <c r="E58" s="12">
        <f>IF(49&gt;($B$7*12),"",E57+D58)</f>
      </c>
      <c r="F58" s="12">
        <f>IF(49&gt;($B$7*12),"",C58-D58)</f>
      </c>
    </row>
    <row r="59" spans="1:6" x14ac:dyDescent="0.25">
      <c r="A59" s="10">
        <f>IF(50&gt;($B$7*12),"",50)</f>
      </c>
      <c r="B59" s="11">
        <f>IF(50&gt;($B$7*12),"",EOMONTH($B$8,49))</f>
      </c>
      <c r="C59" s="12">
        <f>IF(50&gt;($B$7*12),"",F58)</f>
      </c>
      <c r="D59" s="12">
        <f>IF(50&gt;($B$7*12),"",ROUND(($B$5-$B$6)/($B$7*12),2))</f>
      </c>
      <c r="E59" s="12">
        <f>IF(50&gt;($B$7*12),"",E58+D59)</f>
      </c>
      <c r="F59" s="12">
        <f>IF(50&gt;($B$7*12),"",C59-D59)</f>
      </c>
    </row>
    <row r="60" spans="1:6" x14ac:dyDescent="0.25">
      <c r="A60" s="10">
        <f>IF(51&gt;($B$7*12),"",51)</f>
      </c>
      <c r="B60" s="11">
        <f>IF(51&gt;($B$7*12),"",EOMONTH($B$8,50))</f>
      </c>
      <c r="C60" s="12">
        <f>IF(51&gt;($B$7*12),"",F59)</f>
      </c>
      <c r="D60" s="12">
        <f>IF(51&gt;($B$7*12),"",ROUND(($B$5-$B$6)/($B$7*12),2))</f>
      </c>
      <c r="E60" s="12">
        <f>IF(51&gt;($B$7*12),"",E59+D60)</f>
      </c>
      <c r="F60" s="12">
        <f>IF(51&gt;($B$7*12),"",C60-D60)</f>
      </c>
    </row>
    <row r="61" spans="1:6" x14ac:dyDescent="0.25">
      <c r="A61" s="10">
        <f>IF(52&gt;($B$7*12),"",52)</f>
      </c>
      <c r="B61" s="11">
        <f>IF(52&gt;($B$7*12),"",EOMONTH($B$8,51))</f>
      </c>
      <c r="C61" s="12">
        <f>IF(52&gt;($B$7*12),"",F60)</f>
      </c>
      <c r="D61" s="12">
        <f>IF(52&gt;($B$7*12),"",ROUND(($B$5-$B$6)/($B$7*12),2))</f>
      </c>
      <c r="E61" s="12">
        <f>IF(52&gt;($B$7*12),"",E60+D61)</f>
      </c>
      <c r="F61" s="12">
        <f>IF(52&gt;($B$7*12),"",C61-D61)</f>
      </c>
    </row>
    <row r="62" spans="1:6" x14ac:dyDescent="0.25">
      <c r="A62" s="10">
        <f>IF(53&gt;($B$7*12),"",53)</f>
      </c>
      <c r="B62" s="11">
        <f>IF(53&gt;($B$7*12),"",EOMONTH($B$8,52))</f>
      </c>
      <c r="C62" s="12">
        <f>IF(53&gt;($B$7*12),"",F61)</f>
      </c>
      <c r="D62" s="12">
        <f>IF(53&gt;($B$7*12),"",ROUND(($B$5-$B$6)/($B$7*12),2))</f>
      </c>
      <c r="E62" s="12">
        <f>IF(53&gt;($B$7*12),"",E61+D62)</f>
      </c>
      <c r="F62" s="12">
        <f>IF(53&gt;($B$7*12),"",C62-D62)</f>
      </c>
    </row>
    <row r="63" spans="1:6" x14ac:dyDescent="0.25">
      <c r="A63" s="10">
        <f>IF(54&gt;($B$7*12),"",54)</f>
      </c>
      <c r="B63" s="11">
        <f>IF(54&gt;($B$7*12),"",EOMONTH($B$8,53))</f>
      </c>
      <c r="C63" s="12">
        <f>IF(54&gt;($B$7*12),"",F62)</f>
      </c>
      <c r="D63" s="12">
        <f>IF(54&gt;($B$7*12),"",ROUND(($B$5-$B$6)/($B$7*12),2))</f>
      </c>
      <c r="E63" s="12">
        <f>IF(54&gt;($B$7*12),"",E62+D63)</f>
      </c>
      <c r="F63" s="12">
        <f>IF(54&gt;($B$7*12),"",C63-D63)</f>
      </c>
    </row>
    <row r="64" spans="1:6" x14ac:dyDescent="0.25">
      <c r="A64" s="10">
        <f>IF(55&gt;($B$7*12),"",55)</f>
      </c>
      <c r="B64" s="11">
        <f>IF(55&gt;($B$7*12),"",EOMONTH($B$8,54))</f>
      </c>
      <c r="C64" s="12">
        <f>IF(55&gt;($B$7*12),"",F63)</f>
      </c>
      <c r="D64" s="12">
        <f>IF(55&gt;($B$7*12),"",ROUND(($B$5-$B$6)/($B$7*12),2))</f>
      </c>
      <c r="E64" s="12">
        <f>IF(55&gt;($B$7*12),"",E63+D64)</f>
      </c>
      <c r="F64" s="12">
        <f>IF(55&gt;($B$7*12),"",C64-D64)</f>
      </c>
    </row>
    <row r="65" spans="1:6" x14ac:dyDescent="0.25">
      <c r="A65" s="10">
        <f>IF(56&gt;($B$7*12),"",56)</f>
      </c>
      <c r="B65" s="11">
        <f>IF(56&gt;($B$7*12),"",EOMONTH($B$8,55))</f>
      </c>
      <c r="C65" s="12">
        <f>IF(56&gt;($B$7*12),"",F64)</f>
      </c>
      <c r="D65" s="12">
        <f>IF(56&gt;($B$7*12),"",ROUND(($B$5-$B$6)/($B$7*12),2))</f>
      </c>
      <c r="E65" s="12">
        <f>IF(56&gt;($B$7*12),"",E64+D65)</f>
      </c>
      <c r="F65" s="12">
        <f>IF(56&gt;($B$7*12),"",C65-D65)</f>
      </c>
    </row>
    <row r="66" spans="1:6" x14ac:dyDescent="0.25">
      <c r="A66" s="10">
        <f>IF(57&gt;($B$7*12),"",57)</f>
      </c>
      <c r="B66" s="11">
        <f>IF(57&gt;($B$7*12),"",EOMONTH($B$8,56))</f>
      </c>
      <c r="C66" s="12">
        <f>IF(57&gt;($B$7*12),"",F65)</f>
      </c>
      <c r="D66" s="12">
        <f>IF(57&gt;($B$7*12),"",ROUND(($B$5-$B$6)/($B$7*12),2))</f>
      </c>
      <c r="E66" s="12">
        <f>IF(57&gt;($B$7*12),"",E65+D66)</f>
      </c>
      <c r="F66" s="12">
        <f>IF(57&gt;($B$7*12),"",C66-D66)</f>
      </c>
    </row>
    <row r="67" spans="1:6" x14ac:dyDescent="0.25">
      <c r="A67" s="10">
        <f>IF(58&gt;($B$7*12),"",58)</f>
      </c>
      <c r="B67" s="11">
        <f>IF(58&gt;($B$7*12),"",EOMONTH($B$8,57))</f>
      </c>
      <c r="C67" s="12">
        <f>IF(58&gt;($B$7*12),"",F66)</f>
      </c>
      <c r="D67" s="12">
        <f>IF(58&gt;($B$7*12),"",ROUND(($B$5-$B$6)/($B$7*12),2))</f>
      </c>
      <c r="E67" s="12">
        <f>IF(58&gt;($B$7*12),"",E66+D67)</f>
      </c>
      <c r="F67" s="12">
        <f>IF(58&gt;($B$7*12),"",C67-D67)</f>
      </c>
    </row>
    <row r="68" spans="1:6" x14ac:dyDescent="0.25">
      <c r="A68" s="10">
        <f>IF(59&gt;($B$7*12),"",59)</f>
      </c>
      <c r="B68" s="11">
        <f>IF(59&gt;($B$7*12),"",EOMONTH($B$8,58))</f>
      </c>
      <c r="C68" s="12">
        <f>IF(59&gt;($B$7*12),"",F67)</f>
      </c>
      <c r="D68" s="12">
        <f>IF(59&gt;($B$7*12),"",ROUND(($B$5-$B$6)/($B$7*12),2))</f>
      </c>
      <c r="E68" s="12">
        <f>IF(59&gt;($B$7*12),"",E67+D68)</f>
      </c>
      <c r="F68" s="12">
        <f>IF(59&gt;($B$7*12),"",C68-D68)</f>
      </c>
    </row>
    <row r="69" spans="1:6" x14ac:dyDescent="0.25">
      <c r="A69" s="10">
        <f>IF(60&gt;($B$7*12),"",60)</f>
      </c>
      <c r="B69" s="11">
        <f>IF(60&gt;($B$7*12),"",EOMONTH($B$8,59))</f>
      </c>
      <c r="C69" s="12">
        <f>IF(60&gt;($B$7*12),"",F68)</f>
      </c>
      <c r="D69" s="12">
        <f>IF(60&gt;($B$7*12),"",ROUND(($B$5-$B$6)/($B$7*12),2))</f>
      </c>
      <c r="E69" s="12">
        <f>IF(60&gt;($B$7*12),"",E68+D69)</f>
      </c>
      <c r="F69" s="12">
        <f>IF(60&gt;($B$7*12),"",C69-D69)</f>
      </c>
    </row>
    <row r="71" spans="1:4" x14ac:dyDescent="0.25">
      <c r="A71" s="8" t="s">
        <v>14</v>
      </c>
      <c r="D71" s="13">
        <f>SUM(D10:D69)</f>
      </c>
    </row>
    <row r="72" spans="1:4" x14ac:dyDescent="0.25">
      <c r="A72" s="8" t="s">
        <v>15</v>
      </c>
      <c r="D72" s="8">
        <f>IF(ROUND(F69-$B$6,2)=0,"Ties to salvage value","Check inputs: does not tie")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Depreciation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